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13\Desktop\4 工程相关\2021.5.19 人才公寓白蚁防治\需求文件\"/>
    </mc:Choice>
  </mc:AlternateContent>
  <xr:revisionPtr revIDLastSave="0" documentId="13_ncr:1_{C37E9C04-D244-4AC1-93C1-807F96F20C62}" xr6:coauthVersionLast="47" xr6:coauthVersionMax="47" xr10:uidLastSave="{00000000-0000-0000-0000-000000000000}"/>
  <bookViews>
    <workbookView xWindow="90" yWindow="75" windowWidth="27945" windowHeight="14640" xr2:uid="{00000000-000D-0000-FFFF-FFFF00000000}"/>
  </bookViews>
  <sheets>
    <sheet name="20200611" sheetId="1" r:id="rId1"/>
  </sheets>
  <definedNames>
    <definedName name="_xlnm.Print_Area" localSheetId="0">'20200611'!$A$2:$I$34,'20200611'!$K$36:$P$75</definedName>
  </definedNames>
  <calcPr calcId="191029"/>
</workbook>
</file>

<file path=xl/calcChain.xml><?xml version="1.0" encoding="utf-8"?>
<calcChain xmlns="http://schemas.openxmlformats.org/spreadsheetml/2006/main">
  <c r="AG99" i="1" l="1"/>
  <c r="AG97" i="1"/>
  <c r="AH99" i="1" s="1"/>
  <c r="U97" i="1"/>
  <c r="V96" i="1"/>
  <c r="Q90" i="1"/>
  <c r="N63" i="1" s="1"/>
  <c r="Z88" i="1"/>
  <c r="AB88" i="1" s="1"/>
  <c r="AC88" i="1" s="1"/>
  <c r="S88" i="1"/>
  <c r="S89" i="1" s="1"/>
  <c r="Z87" i="1"/>
  <c r="AB87" i="1" s="1"/>
  <c r="AC87" i="1" s="1"/>
  <c r="Z86" i="1"/>
  <c r="AB86" i="1" s="1"/>
  <c r="AC86" i="1" s="1"/>
  <c r="Z85" i="1"/>
  <c r="AB85" i="1" s="1"/>
  <c r="L85" i="1"/>
  <c r="Z83" i="1"/>
  <c r="AB83" i="1" s="1"/>
  <c r="AC83" i="1" s="1"/>
  <c r="Z82" i="1"/>
  <c r="AB82" i="1" s="1"/>
  <c r="AC82" i="1" s="1"/>
  <c r="Z81" i="1"/>
  <c r="AB81" i="1" s="1"/>
  <c r="AC81" i="1" s="1"/>
  <c r="T81" i="1"/>
  <c r="U81" i="1" s="1"/>
  <c r="Q81" i="1"/>
  <c r="Z80" i="1"/>
  <c r="AB80" i="1" s="1"/>
  <c r="T79" i="1"/>
  <c r="V79" i="1" s="1"/>
  <c r="Q79" i="1"/>
  <c r="Q89" i="1" s="1"/>
  <c r="N74" i="1"/>
  <c r="N69" i="1"/>
  <c r="N71" i="1" s="1"/>
  <c r="N73" i="1" s="1"/>
  <c r="N62" i="1"/>
  <c r="O61" i="1" s="1"/>
  <c r="N61" i="1"/>
  <c r="N59" i="1"/>
  <c r="U57" i="1"/>
  <c r="V57" i="1" s="1"/>
  <c r="N57" i="1" s="1"/>
  <c r="N60" i="1" s="1"/>
  <c r="T57" i="1"/>
  <c r="Q55" i="1"/>
  <c r="R55" i="1" s="1"/>
  <c r="R56" i="1" s="1"/>
  <c r="N54" i="1"/>
  <c r="N53" i="1"/>
  <c r="N52" i="1" s="1"/>
  <c r="N55" i="1" s="1"/>
  <c r="O55" i="1" s="1"/>
  <c r="N50" i="1"/>
  <c r="O50" i="1" s="1"/>
  <c r="T48" i="1"/>
  <c r="N48" i="1"/>
  <c r="N47" i="1"/>
  <c r="N46" i="1"/>
  <c r="N44" i="1"/>
  <c r="N43" i="1"/>
  <c r="N42" i="1"/>
  <c r="N40" i="1"/>
  <c r="H18" i="1"/>
  <c r="G18" i="1"/>
  <c r="N41" i="1"/>
  <c r="W8" i="1"/>
  <c r="N49" i="1" l="1"/>
  <c r="Q61" i="1"/>
  <c r="AG100" i="1"/>
  <c r="Q52" i="1"/>
  <c r="AB84" i="1"/>
  <c r="N45" i="1"/>
  <c r="V95" i="1"/>
  <c r="U82" i="1" s="1"/>
  <c r="U84" i="1" s="1"/>
  <c r="AB89" i="1"/>
  <c r="AC85" i="1"/>
  <c r="AC89" i="1" s="1"/>
  <c r="M69" i="1" s="1"/>
  <c r="R61" i="1"/>
  <c r="S61" i="1" s="1"/>
  <c r="S93" i="1"/>
  <c r="T95" i="1" s="1"/>
  <c r="T92" i="1"/>
  <c r="N51" i="1"/>
  <c r="AC80" i="1"/>
  <c r="AC84" i="1" s="1"/>
  <c r="M62" i="1" s="1"/>
  <c r="U83" i="1" l="1"/>
  <c r="Q94" i="1"/>
  <c r="N66" i="1" s="1"/>
  <c r="Q66" i="1" s="1"/>
</calcChain>
</file>

<file path=xl/sharedStrings.xml><?xml version="1.0" encoding="utf-8"?>
<sst xmlns="http://schemas.openxmlformats.org/spreadsheetml/2006/main" count="176" uniqueCount="104">
  <si>
    <t>序
号</t>
  </si>
  <si>
    <t>编号</t>
  </si>
  <si>
    <t>性质</t>
  </si>
  <si>
    <t>层数</t>
  </si>
  <si>
    <t>地上               建筑面积</t>
  </si>
  <si>
    <t>地下           建筑面积</t>
  </si>
  <si>
    <t>本期</t>
  </si>
  <si>
    <t>1#</t>
  </si>
  <si>
    <t>公共建筑</t>
  </si>
  <si>
    <t>12F</t>
  </si>
  <si>
    <t>\</t>
  </si>
  <si>
    <t>2#</t>
  </si>
  <si>
    <t>居住建筑住宅</t>
  </si>
  <si>
    <t>9F</t>
  </si>
  <si>
    <t>3#</t>
  </si>
  <si>
    <t>7F</t>
  </si>
  <si>
    <t>4#</t>
  </si>
  <si>
    <t>3F</t>
  </si>
  <si>
    <t>本期不做</t>
  </si>
  <si>
    <t>5#</t>
  </si>
  <si>
    <t>6#</t>
  </si>
  <si>
    <t>7#</t>
  </si>
  <si>
    <t>8#</t>
  </si>
  <si>
    <t>11F</t>
  </si>
  <si>
    <t>9#</t>
  </si>
  <si>
    <t>10#</t>
  </si>
  <si>
    <t>5F</t>
  </si>
  <si>
    <t>11#</t>
  </si>
  <si>
    <t>1F</t>
  </si>
  <si>
    <t>12#</t>
  </si>
  <si>
    <t>地下建筑</t>
  </si>
  <si>
    <t>一层</t>
  </si>
  <si>
    <t>二层</t>
  </si>
  <si>
    <t>本期小计</t>
  </si>
  <si>
    <t>单位</t>
  </si>
  <si>
    <t>规划条件</t>
  </si>
  <si>
    <t>设计指标</t>
  </si>
  <si>
    <t>备注</t>
  </si>
  <si>
    <t>㎡</t>
  </si>
  <si>
    <t>一期</t>
  </si>
  <si>
    <t>二期</t>
  </si>
  <si>
    <t>总建筑面积</t>
  </si>
  <si>
    <t>地上</t>
  </si>
  <si>
    <t>地下</t>
  </si>
  <si>
    <t>%</t>
  </si>
  <si>
    <t>≥85</t>
  </si>
  <si>
    <t>≤15</t>
  </si>
  <si>
    <t>小于15%</t>
  </si>
  <si>
    <t>≤1.5</t>
  </si>
  <si>
    <t>道路11.9</t>
  </si>
  <si>
    <t>其中道路62277.62</t>
  </si>
  <si>
    <t>计屋顶绿化7556.41</t>
  </si>
  <si>
    <t>除中心区硬化</t>
  </si>
  <si>
    <t>中心绿化区硬化</t>
  </si>
  <si>
    <t>硬化加和</t>
  </si>
  <si>
    <t>总道路及硬化</t>
  </si>
  <si>
    <t>≤26</t>
  </si>
  <si>
    <t>小于26%</t>
  </si>
  <si>
    <t>≥35</t>
  </si>
  <si>
    <t>个</t>
  </si>
  <si>
    <t xml:space="preserve">1.地上停车位占总车位的13.8%。         </t>
  </si>
  <si>
    <t>70  (含快充15个)</t>
  </si>
  <si>
    <t>432 (含慢充42个)</t>
  </si>
  <si>
    <t>2.充电车位占总车位的12%。</t>
  </si>
  <si>
    <t>65  (含快充12个)</t>
  </si>
  <si>
    <t>3.充电设施快慢结合，快充占比22.1%。</t>
  </si>
  <si>
    <t>448 (含慢充53个)</t>
  </si>
  <si>
    <t>m</t>
  </si>
  <si>
    <t>一期最高建筑101#</t>
  </si>
  <si>
    <t>停车位</t>
  </si>
  <si>
    <t>要求</t>
  </si>
  <si>
    <t>汽车</t>
  </si>
  <si>
    <t>自行车</t>
  </si>
  <si>
    <t>停车位计算</t>
  </si>
  <si>
    <t>总数</t>
  </si>
  <si>
    <t>面积</t>
  </si>
  <si>
    <t>车位分类</t>
  </si>
  <si>
    <t>建筑性质用途</t>
  </si>
  <si>
    <t>设置规定</t>
  </si>
  <si>
    <t>计算最低值（个）</t>
  </si>
  <si>
    <t>最低要求（个）</t>
  </si>
  <si>
    <t>实际设计（个）</t>
  </si>
  <si>
    <t>总一般车位</t>
  </si>
  <si>
    <t>科研</t>
  </si>
  <si>
    <t>0.3/100</t>
  </si>
  <si>
    <t>市政绿地按照8/10000来计算设置规定</t>
  </si>
  <si>
    <t>总充电车位</t>
  </si>
  <si>
    <t>工业</t>
  </si>
  <si>
    <t>快充车位</t>
  </si>
  <si>
    <t>行政</t>
  </si>
  <si>
    <t>1.5/100</t>
  </si>
  <si>
    <t>慢充车位</t>
  </si>
  <si>
    <t>市政绿地</t>
  </si>
  <si>
    <t>5~10/10000</t>
  </si>
  <si>
    <t>合计</t>
  </si>
  <si>
    <t>0.2/100</t>
  </si>
  <si>
    <t>0.5/100</t>
  </si>
  <si>
    <t>总地下</t>
  </si>
  <si>
    <t>含充电位</t>
  </si>
  <si>
    <t>总地上</t>
  </si>
  <si>
    <t>含快充</t>
  </si>
  <si>
    <t>总面积：49630</t>
    <phoneticPr fontId="11" type="noConversion"/>
  </si>
  <si>
    <t>备注</t>
    <phoneticPr fontId="11" type="noConversion"/>
  </si>
  <si>
    <t>人才公寓白蚁防治项目工作量表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</si>
</sst>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);[Red]\(0\)"/>
  </numFmts>
  <fonts count="12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4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EB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center" wrapText="1"/>
    </xf>
    <xf numFmtId="177" fontId="1" fillId="0" borderId="0" xfId="0" applyNumberFormat="1" applyFont="1" applyFill="1"/>
    <xf numFmtId="177" fontId="1" fillId="0" borderId="0" xfId="0" applyNumberFormat="1" applyFont="1" applyFill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/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77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/>
    <xf numFmtId="177" fontId="6" fillId="0" borderId="0" xfId="0" applyNumberFormat="1" applyFont="1" applyFill="1" applyBorder="1" applyAlignment="1">
      <alignment horizontal="left"/>
    </xf>
    <xf numFmtId="177" fontId="1" fillId="0" borderId="0" xfId="0" applyNumberFormat="1" applyFont="1" applyBorder="1"/>
    <xf numFmtId="0" fontId="1" fillId="0" borderId="0" xfId="0" applyFont="1" applyFill="1" applyAlignment="1">
      <alignment wrapText="1"/>
    </xf>
    <xf numFmtId="177" fontId="1" fillId="0" borderId="0" xfId="0" applyNumberFormat="1" applyFont="1" applyFill="1" applyAlignment="1">
      <alignment wrapText="1"/>
    </xf>
    <xf numFmtId="176" fontId="1" fillId="0" borderId="1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/>
    </xf>
    <xf numFmtId="176" fontId="7" fillId="0" borderId="2" xfId="0" applyNumberFormat="1" applyFont="1" applyFill="1" applyBorder="1" applyAlignment="1">
      <alignment horizontal="center" vertical="top"/>
    </xf>
    <xf numFmtId="176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177" fontId="6" fillId="0" borderId="2" xfId="0" applyNumberFormat="1" applyFont="1" applyFill="1" applyBorder="1" applyAlignment="1">
      <alignment vertical="top"/>
    </xf>
    <xf numFmtId="176" fontId="6" fillId="0" borderId="2" xfId="0" applyNumberFormat="1" applyFont="1" applyFill="1" applyBorder="1" applyAlignment="1">
      <alignment horizontal="right" vertical="top"/>
    </xf>
    <xf numFmtId="177" fontId="6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horizontal="right" vertical="top"/>
    </xf>
    <xf numFmtId="0" fontId="1" fillId="0" borderId="2" xfId="0" applyFont="1" applyFill="1" applyBorder="1"/>
    <xf numFmtId="0" fontId="1" fillId="0" borderId="0" xfId="0" applyNumberFormat="1" applyFont="1"/>
    <xf numFmtId="0" fontId="1" fillId="3" borderId="0" xfId="0" applyFont="1" applyFill="1"/>
    <xf numFmtId="177" fontId="1" fillId="0" borderId="0" xfId="0" applyNumberFormat="1" applyFont="1" applyFill="1" applyBorder="1" applyAlignment="1">
      <alignment wrapText="1"/>
    </xf>
    <xf numFmtId="176" fontId="1" fillId="2" borderId="0" xfId="0" applyNumberFormat="1" applyFont="1" applyFill="1"/>
    <xf numFmtId="176" fontId="8" fillId="0" borderId="2" xfId="0" applyNumberFormat="1" applyFont="1" applyFill="1" applyBorder="1" applyAlignment="1">
      <alignment horizontal="right" vertical="top"/>
    </xf>
    <xf numFmtId="176" fontId="1" fillId="0" borderId="0" xfId="0" applyNumberFormat="1" applyFont="1"/>
    <xf numFmtId="178" fontId="1" fillId="2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Continuous" vertical="top"/>
    </xf>
    <xf numFmtId="177" fontId="1" fillId="0" borderId="0" xfId="0" applyNumberFormat="1" applyFont="1" applyAlignment="1">
      <alignment horizontal="centerContinuous" vertical="top"/>
    </xf>
    <xf numFmtId="177" fontId="1" fillId="4" borderId="0" xfId="0" applyNumberFormat="1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NumberFormat="1" applyFont="1" applyFill="1"/>
    <xf numFmtId="177" fontId="1" fillId="5" borderId="0" xfId="0" applyNumberFormat="1" applyFont="1" applyFill="1"/>
    <xf numFmtId="177" fontId="1" fillId="8" borderId="0" xfId="0" applyNumberFormat="1" applyFont="1" applyFill="1"/>
    <xf numFmtId="0" fontId="1" fillId="8" borderId="0" xfId="0" applyFont="1" applyFill="1"/>
    <xf numFmtId="177" fontId="1" fillId="9" borderId="0" xfId="0" applyNumberFormat="1" applyFont="1" applyFill="1"/>
    <xf numFmtId="0" fontId="1" fillId="9" borderId="0" xfId="0" applyFont="1" applyFill="1"/>
    <xf numFmtId="177" fontId="1" fillId="10" borderId="0" xfId="0" applyNumberFormat="1" applyFont="1" applyFill="1"/>
    <xf numFmtId="0" fontId="1" fillId="11" borderId="0" xfId="0" applyFont="1" applyFill="1"/>
    <xf numFmtId="0" fontId="1" fillId="12" borderId="2" xfId="0" applyFont="1" applyFill="1" applyBorder="1"/>
    <xf numFmtId="177" fontId="1" fillId="12" borderId="2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177" fontId="1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EEB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00"/>
  <sheetViews>
    <sheetView tabSelected="1" workbookViewId="0">
      <selection activeCell="N15" sqref="N15"/>
    </sheetView>
  </sheetViews>
  <sheetFormatPr defaultColWidth="9" defaultRowHeight="14.25" x14ac:dyDescent="0.2"/>
  <cols>
    <col min="1" max="1" width="3.125" style="4" customWidth="1"/>
    <col min="2" max="2" width="6" style="4" customWidth="1"/>
    <col min="3" max="3" width="8.875" style="5" customWidth="1"/>
    <col min="4" max="4" width="4.5" style="5" customWidth="1"/>
    <col min="5" max="5" width="13" style="6" customWidth="1"/>
    <col min="6" max="6" width="7.5" style="7" customWidth="1"/>
    <col min="7" max="7" width="10.375" style="9" customWidth="1"/>
    <col min="8" max="8" width="10.5" style="10" customWidth="1"/>
    <col min="9" max="9" width="12.625" style="4" customWidth="1"/>
    <col min="10" max="10" width="22" style="11" customWidth="1"/>
    <col min="11" max="11" width="8.875" style="4" customWidth="1"/>
    <col min="12" max="12" width="11" style="4" customWidth="1"/>
    <col min="13" max="13" width="13.25" style="4" customWidth="1"/>
    <col min="14" max="15" width="16.625" style="4" customWidth="1"/>
    <col min="16" max="16" width="1.125" style="4" customWidth="1"/>
    <col min="17" max="17" width="12.625" style="4"/>
    <col min="18" max="18" width="10" style="4" customWidth="1"/>
    <col min="19" max="20" width="12.625" style="4"/>
    <col min="21" max="21" width="14" style="4" customWidth="1"/>
    <col min="22" max="22" width="13" style="4" customWidth="1"/>
    <col min="23" max="23" width="9.125" style="4" customWidth="1"/>
    <col min="24" max="24" width="14.5" style="4" customWidth="1"/>
    <col min="25" max="25" width="13.875" style="4" customWidth="1"/>
    <col min="26" max="26" width="11.75" style="4" customWidth="1"/>
    <col min="27" max="27" width="12.25" style="4" customWidth="1"/>
    <col min="28" max="28" width="16" style="4" customWidth="1"/>
    <col min="29" max="29" width="16.125" style="4" customWidth="1"/>
    <col min="30" max="30" width="14.875" style="4" customWidth="1"/>
    <col min="31" max="32" width="9" style="4"/>
    <col min="33" max="33" width="12.75" style="4" customWidth="1"/>
    <col min="34" max="34" width="10.5" style="4" customWidth="1"/>
    <col min="35" max="16384" width="9" style="4"/>
  </cols>
  <sheetData>
    <row r="2" spans="1:32" ht="33.75" customHeight="1" x14ac:dyDescent="0.25">
      <c r="A2" s="112" t="s">
        <v>103</v>
      </c>
      <c r="B2" s="112"/>
      <c r="C2" s="112"/>
      <c r="D2" s="112"/>
      <c r="E2" s="112"/>
      <c r="F2" s="112"/>
      <c r="G2" s="112"/>
      <c r="H2" s="112"/>
      <c r="I2" s="112"/>
      <c r="J2" s="31"/>
      <c r="K2" s="2"/>
      <c r="L2" s="2"/>
      <c r="M2" s="2"/>
      <c r="N2" s="2"/>
      <c r="O2" s="2"/>
      <c r="U2" s="11"/>
      <c r="Y2" s="11"/>
      <c r="Z2" s="11"/>
      <c r="AA2" s="1"/>
    </row>
    <row r="3" spans="1:32" ht="27.75" customHeight="1" x14ac:dyDescent="0.2">
      <c r="A3" s="108" t="s">
        <v>0</v>
      </c>
      <c r="B3" s="109" t="s">
        <v>1</v>
      </c>
      <c r="C3" s="109"/>
      <c r="D3" s="109" t="s">
        <v>2</v>
      </c>
      <c r="E3" s="109"/>
      <c r="F3" s="110" t="s">
        <v>3</v>
      </c>
      <c r="G3" s="111" t="s">
        <v>4</v>
      </c>
      <c r="H3" s="111" t="s">
        <v>5</v>
      </c>
      <c r="I3" s="113" t="s">
        <v>102</v>
      </c>
      <c r="J3" s="32"/>
      <c r="K3" s="2"/>
      <c r="L3" s="2"/>
      <c r="M3" s="2"/>
      <c r="N3" s="2"/>
      <c r="O3" s="2"/>
      <c r="U3" s="11"/>
      <c r="V3" s="55"/>
      <c r="W3" s="11"/>
      <c r="X3" s="11"/>
      <c r="Y3" s="11"/>
      <c r="Z3" s="11"/>
      <c r="AA3" s="1"/>
    </row>
    <row r="4" spans="1:32" s="1" customFormat="1" ht="19.899999999999999" customHeight="1" x14ac:dyDescent="0.2">
      <c r="A4" s="93">
        <v>1</v>
      </c>
      <c r="B4" s="100" t="s">
        <v>6</v>
      </c>
      <c r="C4" s="93" t="s">
        <v>7</v>
      </c>
      <c r="D4" s="107" t="s">
        <v>8</v>
      </c>
      <c r="E4" s="107"/>
      <c r="F4" s="12" t="s">
        <v>9</v>
      </c>
      <c r="G4" s="13">
        <v>10665.99</v>
      </c>
      <c r="H4" s="13" t="s">
        <v>10</v>
      </c>
      <c r="I4" s="13"/>
      <c r="J4" s="20"/>
      <c r="K4" s="39"/>
      <c r="L4" s="39"/>
      <c r="M4" s="39"/>
      <c r="N4" s="39"/>
      <c r="O4" s="39"/>
      <c r="U4" s="11"/>
      <c r="V4" s="4"/>
      <c r="W4" s="4"/>
      <c r="X4" s="11"/>
      <c r="Y4" s="11"/>
      <c r="Z4" s="11"/>
      <c r="AB4" s="4"/>
      <c r="AC4" s="4"/>
      <c r="AD4" s="4"/>
      <c r="AE4" s="4"/>
      <c r="AF4" s="4"/>
    </row>
    <row r="5" spans="1:32" ht="19.899999999999999" customHeight="1" x14ac:dyDescent="0.2">
      <c r="A5" s="93">
        <v>2</v>
      </c>
      <c r="B5" s="100"/>
      <c r="C5" s="93" t="s">
        <v>11</v>
      </c>
      <c r="D5" s="107" t="s">
        <v>12</v>
      </c>
      <c r="E5" s="107"/>
      <c r="F5" s="12" t="s">
        <v>13</v>
      </c>
      <c r="G5" s="13">
        <v>4497.17</v>
      </c>
      <c r="H5" s="13" t="s">
        <v>10</v>
      </c>
      <c r="I5" s="13"/>
      <c r="J5" s="20"/>
      <c r="K5" s="2"/>
      <c r="L5" s="2"/>
      <c r="M5" s="2"/>
      <c r="N5" s="2"/>
      <c r="O5" s="2"/>
      <c r="U5" s="11"/>
      <c r="V5" s="55"/>
      <c r="W5" s="11"/>
      <c r="X5" s="11"/>
      <c r="Y5" s="11"/>
      <c r="Z5" s="11"/>
      <c r="AA5" s="1"/>
    </row>
    <row r="6" spans="1:32" ht="16.149999999999999" customHeight="1" x14ac:dyDescent="0.2">
      <c r="A6" s="93">
        <v>4</v>
      </c>
      <c r="B6" s="100"/>
      <c r="C6" s="93" t="s">
        <v>14</v>
      </c>
      <c r="D6" s="107" t="s">
        <v>12</v>
      </c>
      <c r="E6" s="107"/>
      <c r="F6" s="12" t="s">
        <v>15</v>
      </c>
      <c r="G6" s="13">
        <v>5155.74</v>
      </c>
      <c r="H6" s="13" t="s">
        <v>10</v>
      </c>
      <c r="I6" s="12"/>
      <c r="J6" s="20"/>
      <c r="K6" s="2"/>
      <c r="L6" s="2"/>
      <c r="M6" s="2"/>
      <c r="N6" s="2"/>
      <c r="O6" s="2"/>
      <c r="U6" s="11"/>
      <c r="Y6" s="11"/>
      <c r="Z6" s="11"/>
      <c r="AA6" s="1"/>
    </row>
    <row r="7" spans="1:32" ht="16.149999999999999" customHeight="1" x14ac:dyDescent="0.2">
      <c r="A7" s="93">
        <v>6</v>
      </c>
      <c r="B7" s="100"/>
      <c r="C7" s="14" t="s">
        <v>16</v>
      </c>
      <c r="D7" s="107" t="s">
        <v>12</v>
      </c>
      <c r="E7" s="107"/>
      <c r="F7" s="12" t="s">
        <v>17</v>
      </c>
      <c r="G7" s="13">
        <v>1249.68</v>
      </c>
      <c r="H7" s="13" t="s">
        <v>10</v>
      </c>
      <c r="I7" s="12" t="s">
        <v>18</v>
      </c>
      <c r="J7" s="20"/>
      <c r="K7" s="2"/>
      <c r="L7" s="2"/>
      <c r="M7" s="2"/>
      <c r="N7" s="2"/>
      <c r="O7" s="2"/>
      <c r="U7" s="11"/>
      <c r="V7" s="56">
        <v>202151</v>
      </c>
      <c r="X7" s="1"/>
      <c r="Y7" s="11"/>
      <c r="Z7" s="11"/>
      <c r="AA7" s="1"/>
    </row>
    <row r="8" spans="1:32" ht="27.75" customHeight="1" x14ac:dyDescent="0.2">
      <c r="A8" s="93">
        <v>7</v>
      </c>
      <c r="B8" s="100"/>
      <c r="C8" s="93" t="s">
        <v>19</v>
      </c>
      <c r="D8" s="107" t="s">
        <v>12</v>
      </c>
      <c r="E8" s="107"/>
      <c r="F8" s="12" t="s">
        <v>17</v>
      </c>
      <c r="G8" s="13">
        <v>1249.68</v>
      </c>
      <c r="H8" s="13" t="s">
        <v>10</v>
      </c>
      <c r="I8" s="12"/>
      <c r="J8" s="20"/>
      <c r="K8" s="2"/>
      <c r="L8" s="2"/>
      <c r="M8" s="2"/>
      <c r="N8" s="2"/>
      <c r="O8" s="2"/>
      <c r="U8" s="11"/>
      <c r="W8" s="4">
        <f>N39*1.4</f>
        <v>289506.658</v>
      </c>
      <c r="Y8" s="11"/>
      <c r="Z8" s="11"/>
      <c r="AA8" s="1"/>
    </row>
    <row r="9" spans="1:32" ht="16.149999999999999" customHeight="1" x14ac:dyDescent="0.2">
      <c r="A9" s="93">
        <v>4</v>
      </c>
      <c r="B9" s="100"/>
      <c r="C9" s="93" t="s">
        <v>20</v>
      </c>
      <c r="D9" s="107" t="s">
        <v>12</v>
      </c>
      <c r="E9" s="107"/>
      <c r="F9" s="12" t="s">
        <v>17</v>
      </c>
      <c r="G9" s="13">
        <v>1249.68</v>
      </c>
      <c r="H9" s="13" t="s">
        <v>10</v>
      </c>
      <c r="I9" s="12"/>
      <c r="J9" s="20"/>
      <c r="K9" s="2"/>
      <c r="L9" s="2"/>
      <c r="M9" s="2"/>
      <c r="N9" s="2"/>
      <c r="O9" s="2"/>
      <c r="U9" s="11"/>
      <c r="Y9" s="11"/>
      <c r="Z9" s="11"/>
      <c r="AA9" s="1"/>
    </row>
    <row r="10" spans="1:32" ht="16.149999999999999" customHeight="1" x14ac:dyDescent="0.2">
      <c r="A10" s="93">
        <v>5</v>
      </c>
      <c r="B10" s="100"/>
      <c r="C10" s="14" t="s">
        <v>21</v>
      </c>
      <c r="D10" s="107" t="s">
        <v>12</v>
      </c>
      <c r="E10" s="107"/>
      <c r="F10" s="12" t="s">
        <v>15</v>
      </c>
      <c r="G10" s="13">
        <v>3494.29</v>
      </c>
      <c r="H10" s="13" t="s">
        <v>10</v>
      </c>
      <c r="I10" s="12" t="s">
        <v>18</v>
      </c>
      <c r="J10" s="20"/>
      <c r="K10" s="2"/>
      <c r="L10" s="2"/>
      <c r="M10" s="2"/>
      <c r="N10" s="2"/>
      <c r="O10" s="2"/>
      <c r="U10" s="11"/>
      <c r="Y10" s="11"/>
      <c r="Z10" s="11"/>
      <c r="AA10" s="1"/>
    </row>
    <row r="11" spans="1:32" s="2" customFormat="1" ht="16.149999999999999" customHeight="1" x14ac:dyDescent="0.2">
      <c r="A11" s="93">
        <v>8</v>
      </c>
      <c r="B11" s="100"/>
      <c r="C11" s="14" t="s">
        <v>22</v>
      </c>
      <c r="D11" s="107" t="s">
        <v>12</v>
      </c>
      <c r="E11" s="107"/>
      <c r="F11" s="12" t="s">
        <v>23</v>
      </c>
      <c r="G11" s="13">
        <v>5489.17</v>
      </c>
      <c r="H11" s="13" t="s">
        <v>10</v>
      </c>
      <c r="I11" s="12" t="s">
        <v>18</v>
      </c>
      <c r="J11" s="20"/>
      <c r="U11" s="8"/>
      <c r="Y11" s="8"/>
      <c r="Z11" s="8"/>
      <c r="AA11" s="39"/>
    </row>
    <row r="12" spans="1:32" s="2" customFormat="1" ht="16.149999999999999" customHeight="1" x14ac:dyDescent="0.2">
      <c r="A12" s="93">
        <v>9</v>
      </c>
      <c r="B12" s="100"/>
      <c r="C12" s="14" t="s">
        <v>24</v>
      </c>
      <c r="D12" s="107" t="s">
        <v>8</v>
      </c>
      <c r="E12" s="107"/>
      <c r="F12" s="12" t="s">
        <v>9</v>
      </c>
      <c r="G12" s="13">
        <v>11490.53</v>
      </c>
      <c r="H12" s="13" t="s">
        <v>10</v>
      </c>
      <c r="I12" s="12" t="s">
        <v>18</v>
      </c>
      <c r="J12" s="20"/>
      <c r="U12" s="8"/>
      <c r="Y12" s="8"/>
      <c r="Z12" s="8"/>
      <c r="AA12" s="39"/>
    </row>
    <row r="13" spans="1:32" ht="16.149999999999999" customHeight="1" x14ac:dyDescent="0.2">
      <c r="A13" s="93">
        <v>10</v>
      </c>
      <c r="B13" s="100"/>
      <c r="C13" s="93" t="s">
        <v>25</v>
      </c>
      <c r="D13" s="107" t="s">
        <v>8</v>
      </c>
      <c r="E13" s="107"/>
      <c r="F13" s="12" t="s">
        <v>26</v>
      </c>
      <c r="G13" s="13">
        <v>2510.79</v>
      </c>
      <c r="H13" s="13" t="s">
        <v>10</v>
      </c>
      <c r="I13" s="12"/>
      <c r="J13" s="20"/>
      <c r="K13" s="8"/>
      <c r="L13" s="8"/>
      <c r="M13" s="40"/>
      <c r="N13" s="2"/>
      <c r="O13" s="2"/>
      <c r="U13" s="11"/>
      <c r="Y13" s="11"/>
      <c r="Z13" s="11"/>
      <c r="AA13" s="1"/>
    </row>
    <row r="14" spans="1:32" ht="16.149999999999999" customHeight="1" x14ac:dyDescent="0.2">
      <c r="A14" s="93">
        <v>11</v>
      </c>
      <c r="B14" s="100"/>
      <c r="C14" s="93" t="s">
        <v>27</v>
      </c>
      <c r="D14" s="107" t="s">
        <v>8</v>
      </c>
      <c r="E14" s="107"/>
      <c r="F14" s="12" t="s">
        <v>28</v>
      </c>
      <c r="G14" s="13">
        <v>12.98</v>
      </c>
      <c r="H14" s="13" t="s">
        <v>10</v>
      </c>
      <c r="I14" s="12"/>
      <c r="J14" s="20"/>
      <c r="K14" s="8"/>
      <c r="L14" s="8"/>
      <c r="M14" s="8"/>
      <c r="N14" s="2"/>
      <c r="O14" s="2"/>
      <c r="U14" s="11"/>
      <c r="V14" s="55"/>
      <c r="W14" s="11"/>
      <c r="X14" s="11"/>
      <c r="Y14" s="11"/>
      <c r="Z14" s="11"/>
      <c r="AA14" s="1"/>
    </row>
    <row r="15" spans="1:32" ht="16.149999999999999" customHeight="1" x14ac:dyDescent="0.2">
      <c r="A15" s="93">
        <v>12</v>
      </c>
      <c r="B15" s="100"/>
      <c r="C15" s="93" t="s">
        <v>29</v>
      </c>
      <c r="D15" s="107" t="s">
        <v>8</v>
      </c>
      <c r="E15" s="107"/>
      <c r="F15" s="12" t="s">
        <v>28</v>
      </c>
      <c r="G15" s="13">
        <v>12.98</v>
      </c>
      <c r="H15" s="13" t="s">
        <v>10</v>
      </c>
      <c r="I15" s="12"/>
      <c r="J15" s="20"/>
      <c r="K15" s="2"/>
      <c r="L15" s="8"/>
      <c r="M15" s="40"/>
      <c r="N15" s="2"/>
      <c r="O15" s="2"/>
    </row>
    <row r="16" spans="1:32" ht="16.149999999999999" customHeight="1" x14ac:dyDescent="0.2">
      <c r="A16" s="93">
        <v>13</v>
      </c>
      <c r="B16" s="100"/>
      <c r="C16" s="93" t="s">
        <v>30</v>
      </c>
      <c r="D16" s="107" t="s">
        <v>31</v>
      </c>
      <c r="E16" s="107"/>
      <c r="F16" s="12"/>
      <c r="G16" s="13" t="s">
        <v>10</v>
      </c>
      <c r="H16" s="13">
        <v>7758.42</v>
      </c>
      <c r="I16" s="12"/>
      <c r="J16" s="20"/>
      <c r="K16" s="2"/>
      <c r="L16" s="8"/>
      <c r="M16" s="40"/>
      <c r="N16" s="2"/>
      <c r="O16" s="2"/>
    </row>
    <row r="17" spans="1:19" ht="16.149999999999999" customHeight="1" x14ac:dyDescent="0.2">
      <c r="A17" s="93">
        <v>14</v>
      </c>
      <c r="B17" s="100"/>
      <c r="C17" s="93" t="s">
        <v>30</v>
      </c>
      <c r="D17" s="107" t="s">
        <v>32</v>
      </c>
      <c r="E17" s="107"/>
      <c r="F17" s="12"/>
      <c r="G17" s="13" t="s">
        <v>10</v>
      </c>
      <c r="H17" s="13">
        <v>16516.57</v>
      </c>
      <c r="I17" s="12"/>
      <c r="J17" s="20"/>
      <c r="K17" s="2"/>
      <c r="L17" s="8"/>
      <c r="M17" s="40"/>
      <c r="N17" s="2"/>
      <c r="O17" s="2"/>
    </row>
    <row r="18" spans="1:19" ht="21" customHeight="1" x14ac:dyDescent="0.2">
      <c r="A18" s="15"/>
      <c r="B18" s="16" t="s">
        <v>33</v>
      </c>
      <c r="C18" s="93"/>
      <c r="D18" s="107"/>
      <c r="E18" s="107"/>
      <c r="F18" s="12"/>
      <c r="G18" s="17">
        <f>G4+G5+SUM(G6:G14)+SUM(G15:G17)</f>
        <v>47078.68</v>
      </c>
      <c r="H18" s="17">
        <f>SUM(H5:H17)</f>
        <v>24274.989999999998</v>
      </c>
      <c r="I18" s="16"/>
      <c r="J18" s="20"/>
      <c r="K18" s="2"/>
      <c r="L18" s="2"/>
      <c r="M18" s="2"/>
      <c r="N18" s="2"/>
      <c r="O18" s="2"/>
    </row>
    <row r="19" spans="1:19" ht="21" customHeight="1" x14ac:dyDescent="0.2">
      <c r="A19" s="109" t="s">
        <v>101</v>
      </c>
      <c r="B19" s="109"/>
      <c r="C19" s="109"/>
      <c r="D19" s="109"/>
      <c r="E19" s="109"/>
      <c r="F19" s="109"/>
      <c r="G19" s="109"/>
      <c r="H19" s="109"/>
      <c r="I19" s="109"/>
      <c r="J19" s="85"/>
      <c r="K19" s="2"/>
      <c r="L19" s="2"/>
      <c r="M19" s="2"/>
      <c r="N19" s="2"/>
      <c r="O19" s="2"/>
    </row>
    <row r="20" spans="1:19" s="3" customFormat="1" ht="16.149999999999999" customHeight="1" x14ac:dyDescent="0.2">
      <c r="A20" s="87"/>
      <c r="B20" s="101"/>
      <c r="C20" s="87"/>
      <c r="D20" s="97"/>
      <c r="E20" s="97"/>
      <c r="F20" s="19"/>
      <c r="G20" s="85"/>
      <c r="H20" s="35"/>
      <c r="I20" s="36"/>
      <c r="J20" s="20"/>
      <c r="K20" s="33"/>
      <c r="L20" s="33"/>
      <c r="M20" s="33"/>
      <c r="N20" s="33"/>
      <c r="O20" s="33"/>
    </row>
    <row r="21" spans="1:19" s="3" customFormat="1" ht="16.149999999999999" customHeight="1" x14ac:dyDescent="0.2">
      <c r="A21" s="87"/>
      <c r="B21" s="101"/>
      <c r="C21" s="87"/>
      <c r="D21" s="97"/>
      <c r="E21" s="97"/>
      <c r="F21" s="86"/>
      <c r="G21" s="85"/>
      <c r="H21" s="35"/>
      <c r="I21" s="36"/>
      <c r="J21" s="20"/>
      <c r="K21" s="33"/>
      <c r="L21" s="33"/>
      <c r="M21" s="33"/>
      <c r="N21" s="33"/>
      <c r="O21" s="33"/>
    </row>
    <row r="22" spans="1:19" s="3" customFormat="1" ht="16.149999999999999" customHeight="1" x14ac:dyDescent="0.2">
      <c r="A22" s="87"/>
      <c r="B22" s="101"/>
      <c r="C22" s="87"/>
      <c r="D22" s="97"/>
      <c r="E22" s="97"/>
      <c r="F22" s="86"/>
      <c r="G22" s="85"/>
      <c r="H22" s="35"/>
      <c r="I22" s="36"/>
      <c r="J22" s="20"/>
      <c r="K22" s="33"/>
      <c r="L22" s="33"/>
      <c r="M22" s="33"/>
      <c r="N22" s="33"/>
      <c r="O22" s="33"/>
    </row>
    <row r="23" spans="1:19" s="3" customFormat="1" ht="16.149999999999999" customHeight="1" x14ac:dyDescent="0.2">
      <c r="A23" s="87"/>
      <c r="B23" s="101"/>
      <c r="C23" s="87"/>
      <c r="D23" s="97"/>
      <c r="E23" s="97"/>
      <c r="F23" s="86"/>
      <c r="G23" s="85"/>
      <c r="H23" s="26"/>
      <c r="I23" s="36"/>
      <c r="J23" s="20"/>
      <c r="K23" s="33"/>
      <c r="L23" s="33"/>
      <c r="M23" s="33"/>
      <c r="N23" s="33"/>
      <c r="O23" s="33"/>
    </row>
    <row r="24" spans="1:19" s="3" customFormat="1" ht="16.149999999999999" customHeight="1" x14ac:dyDescent="0.2">
      <c r="A24" s="87"/>
      <c r="B24" s="101"/>
      <c r="C24" s="87"/>
      <c r="D24" s="97"/>
      <c r="E24" s="97"/>
      <c r="F24" s="86"/>
      <c r="G24" s="85"/>
      <c r="H24" s="37"/>
      <c r="I24" s="36"/>
      <c r="J24" s="20"/>
      <c r="K24" s="33"/>
      <c r="L24" s="33"/>
      <c r="M24" s="33"/>
      <c r="N24" s="33"/>
      <c r="O24" s="33"/>
    </row>
    <row r="25" spans="1:19" s="3" customFormat="1" ht="16.149999999999999" customHeight="1" x14ac:dyDescent="0.2">
      <c r="A25" s="87"/>
      <c r="B25" s="101"/>
      <c r="C25" s="87"/>
      <c r="D25" s="106"/>
      <c r="E25" s="106"/>
      <c r="F25" s="19"/>
      <c r="G25" s="85"/>
      <c r="H25" s="102"/>
      <c r="I25" s="36"/>
      <c r="J25" s="20"/>
      <c r="K25" s="33"/>
      <c r="L25" s="33"/>
      <c r="M25" s="33"/>
      <c r="N25" s="33"/>
      <c r="O25" s="33"/>
    </row>
    <row r="26" spans="1:19" s="3" customFormat="1" ht="16.149999999999999" customHeight="1" x14ac:dyDescent="0.2">
      <c r="A26" s="87"/>
      <c r="B26" s="101"/>
      <c r="C26" s="87"/>
      <c r="D26" s="97"/>
      <c r="E26" s="97"/>
      <c r="F26" s="19"/>
      <c r="G26" s="85"/>
      <c r="H26" s="102"/>
      <c r="I26" s="36"/>
      <c r="J26" s="20"/>
      <c r="K26" s="33"/>
      <c r="L26" s="33"/>
      <c r="M26" s="33"/>
      <c r="N26" s="33"/>
      <c r="O26" s="33"/>
    </row>
    <row r="27" spans="1:19" s="3" customFormat="1" ht="16.149999999999999" customHeight="1" x14ac:dyDescent="0.2">
      <c r="A27" s="87"/>
      <c r="B27" s="101"/>
      <c r="C27" s="87"/>
      <c r="D27" s="97"/>
      <c r="E27" s="97"/>
      <c r="F27" s="19"/>
      <c r="G27" s="85"/>
      <c r="H27" s="102"/>
      <c r="I27" s="36"/>
      <c r="J27" s="20"/>
      <c r="K27" s="33"/>
      <c r="L27" s="33"/>
      <c r="M27" s="33"/>
      <c r="N27" s="33"/>
      <c r="O27" s="33"/>
    </row>
    <row r="28" spans="1:19" s="3" customFormat="1" ht="16.149999999999999" customHeight="1" x14ac:dyDescent="0.2">
      <c r="A28" s="87"/>
      <c r="B28" s="101"/>
      <c r="C28" s="87"/>
      <c r="D28" s="97"/>
      <c r="E28" s="97"/>
      <c r="F28" s="19"/>
      <c r="G28" s="85"/>
      <c r="H28" s="102"/>
      <c r="I28" s="36"/>
      <c r="J28" s="20"/>
      <c r="K28" s="33"/>
      <c r="L28" s="33"/>
      <c r="M28" s="33"/>
      <c r="N28" s="33"/>
      <c r="O28" s="33"/>
    </row>
    <row r="29" spans="1:19" s="3" customFormat="1" ht="16.149999999999999" customHeight="1" x14ac:dyDescent="0.2">
      <c r="A29" s="87"/>
      <c r="B29" s="101"/>
      <c r="C29" s="87"/>
      <c r="D29" s="97"/>
      <c r="E29" s="97"/>
      <c r="F29" s="19"/>
      <c r="G29" s="85"/>
      <c r="H29" s="102"/>
      <c r="I29" s="36"/>
      <c r="J29" s="20"/>
      <c r="K29" s="33"/>
      <c r="L29" s="33"/>
      <c r="M29" s="33"/>
      <c r="N29" s="33"/>
      <c r="O29" s="33"/>
    </row>
    <row r="30" spans="1:19" s="3" customFormat="1" ht="16.149999999999999" customHeight="1" x14ac:dyDescent="0.2">
      <c r="A30" s="87"/>
      <c r="B30" s="101"/>
      <c r="C30" s="87"/>
      <c r="D30" s="97"/>
      <c r="E30" s="97"/>
      <c r="F30" s="19"/>
      <c r="G30" s="85"/>
      <c r="H30" s="102"/>
      <c r="I30" s="36"/>
      <c r="J30" s="20"/>
      <c r="K30" s="33"/>
      <c r="L30" s="33"/>
      <c r="M30" s="33"/>
      <c r="N30" s="33"/>
      <c r="O30" s="33"/>
    </row>
    <row r="31" spans="1:19" s="3" customFormat="1" ht="16.149999999999999" customHeight="1" x14ac:dyDescent="0.2">
      <c r="A31" s="87"/>
      <c r="B31" s="101"/>
      <c r="C31" s="87"/>
      <c r="D31" s="97"/>
      <c r="E31" s="97"/>
      <c r="F31" s="19"/>
      <c r="G31" s="85"/>
      <c r="H31" s="26"/>
      <c r="I31" s="36"/>
      <c r="J31" s="20"/>
      <c r="K31" s="33"/>
      <c r="L31" s="33"/>
      <c r="M31" s="33"/>
      <c r="N31" s="33"/>
      <c r="O31" s="33"/>
      <c r="R31" s="57"/>
      <c r="S31" s="33"/>
    </row>
    <row r="32" spans="1:19" s="3" customFormat="1" ht="21" customHeight="1" x14ac:dyDescent="0.2">
      <c r="A32" s="21"/>
      <c r="B32" s="22"/>
      <c r="C32" s="18"/>
      <c r="D32" s="97"/>
      <c r="E32" s="97"/>
      <c r="F32" s="19"/>
      <c r="G32" s="20"/>
      <c r="H32" s="20"/>
      <c r="I32" s="36"/>
      <c r="J32" s="20"/>
      <c r="K32" s="33"/>
      <c r="L32" s="33"/>
      <c r="M32" s="33"/>
      <c r="N32" s="33"/>
      <c r="O32" s="33"/>
    </row>
    <row r="33" spans="1:20" s="3" customFormat="1" ht="21" customHeight="1" x14ac:dyDescent="0.2">
      <c r="A33" s="98"/>
      <c r="B33" s="98"/>
      <c r="C33" s="98"/>
      <c r="D33" s="97"/>
      <c r="E33" s="97"/>
      <c r="F33" s="19"/>
      <c r="G33" s="20"/>
      <c r="H33" s="20"/>
      <c r="I33" s="36"/>
      <c r="J33" s="20"/>
      <c r="K33" s="33"/>
      <c r="L33" s="33"/>
      <c r="M33" s="33"/>
      <c r="N33" s="33"/>
      <c r="O33" s="33"/>
    </row>
    <row r="34" spans="1:20" s="3" customFormat="1" ht="18" customHeight="1" x14ac:dyDescent="0.2">
      <c r="A34" s="22"/>
      <c r="B34" s="22"/>
      <c r="C34" s="23"/>
      <c r="D34" s="23"/>
      <c r="E34" s="24"/>
      <c r="F34" s="25"/>
      <c r="G34" s="26"/>
      <c r="H34" s="26"/>
      <c r="J34" s="38"/>
      <c r="K34" s="33"/>
      <c r="L34" s="33"/>
      <c r="M34" s="33"/>
      <c r="N34" s="33"/>
      <c r="O34" s="33"/>
    </row>
    <row r="35" spans="1:20" ht="24" customHeight="1" x14ac:dyDescent="0.2">
      <c r="A35" s="3"/>
      <c r="B35" s="3"/>
      <c r="C35" s="27"/>
      <c r="D35" s="28"/>
      <c r="E35" s="29"/>
      <c r="K35" s="2"/>
      <c r="L35" s="2"/>
      <c r="M35" s="2"/>
      <c r="N35" s="2"/>
      <c r="O35" s="41"/>
    </row>
    <row r="36" spans="1:20" ht="20.25" x14ac:dyDescent="0.25">
      <c r="A36" s="3"/>
      <c r="B36" s="3"/>
      <c r="C36" s="30"/>
      <c r="D36" s="30"/>
      <c r="E36" s="29"/>
      <c r="K36" s="31"/>
      <c r="L36" s="31"/>
      <c r="M36" s="31"/>
      <c r="N36" s="31"/>
      <c r="O36" s="31"/>
    </row>
    <row r="37" spans="1:20" x14ac:dyDescent="0.2">
      <c r="A37" s="3"/>
      <c r="B37" s="3"/>
      <c r="C37" s="30"/>
      <c r="D37" s="30"/>
      <c r="E37" s="29"/>
      <c r="K37" s="88"/>
      <c r="L37" s="42" t="s">
        <v>34</v>
      </c>
      <c r="M37" s="43" t="s">
        <v>35</v>
      </c>
      <c r="N37" s="44" t="s">
        <v>36</v>
      </c>
      <c r="O37" s="42" t="s">
        <v>37</v>
      </c>
    </row>
    <row r="38" spans="1:20" x14ac:dyDescent="0.2">
      <c r="A38" s="3"/>
      <c r="B38" s="3"/>
      <c r="C38" s="30"/>
      <c r="D38" s="30"/>
      <c r="E38" s="29"/>
      <c r="K38" s="89"/>
      <c r="L38" s="45" t="s">
        <v>38</v>
      </c>
      <c r="M38" s="46">
        <v>272124.86</v>
      </c>
      <c r="N38" s="46">
        <v>272124.86</v>
      </c>
      <c r="O38" s="47"/>
      <c r="P38" s="1"/>
    </row>
    <row r="39" spans="1:20" x14ac:dyDescent="0.2">
      <c r="A39" s="3"/>
      <c r="B39" s="3"/>
      <c r="C39" s="30"/>
      <c r="D39" s="30"/>
      <c r="E39" s="29"/>
      <c r="K39" s="89"/>
      <c r="L39" s="45" t="s">
        <v>38</v>
      </c>
      <c r="M39" s="46">
        <v>206790.47</v>
      </c>
      <c r="N39" s="46">
        <v>206790.47</v>
      </c>
      <c r="O39" s="47"/>
    </row>
    <row r="40" spans="1:20" x14ac:dyDescent="0.2">
      <c r="A40" s="3"/>
      <c r="B40" s="3"/>
      <c r="K40" s="89"/>
      <c r="L40" s="45" t="s">
        <v>38</v>
      </c>
      <c r="M40" s="46"/>
      <c r="N40" s="46" t="e">
        <f>#REF!</f>
        <v>#REF!</v>
      </c>
      <c r="O40" s="48"/>
    </row>
    <row r="41" spans="1:20" x14ac:dyDescent="0.2">
      <c r="K41" s="90"/>
      <c r="L41" s="45"/>
      <c r="M41" s="46"/>
      <c r="N41" s="46" t="e">
        <f>#REF!</f>
        <v>#REF!</v>
      </c>
      <c r="O41" s="47"/>
    </row>
    <row r="42" spans="1:20" x14ac:dyDescent="0.2">
      <c r="K42" s="90"/>
      <c r="L42" s="45"/>
      <c r="M42" s="46"/>
      <c r="N42" s="46" t="e">
        <f>#REF!</f>
        <v>#REF!</v>
      </c>
      <c r="O42" s="47"/>
    </row>
    <row r="43" spans="1:20" x14ac:dyDescent="0.2">
      <c r="K43" s="89"/>
      <c r="L43" s="45" t="s">
        <v>38</v>
      </c>
      <c r="M43" s="46"/>
      <c r="N43" s="46" t="e">
        <f>#REF!</f>
        <v>#REF!</v>
      </c>
      <c r="O43" s="48"/>
    </row>
    <row r="44" spans="1:20" x14ac:dyDescent="0.2">
      <c r="K44" s="90"/>
      <c r="L44" s="45"/>
      <c r="M44" s="46"/>
      <c r="N44" s="46" t="e">
        <f>#REF!</f>
        <v>#REF!</v>
      </c>
      <c r="O44" s="47"/>
    </row>
    <row r="45" spans="1:20" x14ac:dyDescent="0.2">
      <c r="K45" s="91"/>
      <c r="L45" s="45"/>
      <c r="M45" s="46"/>
      <c r="N45" s="46" t="e">
        <f>N44-N46</f>
        <v>#REF!</v>
      </c>
      <c r="O45" s="47"/>
    </row>
    <row r="46" spans="1:20" x14ac:dyDescent="0.2">
      <c r="K46" s="91"/>
      <c r="L46" s="45"/>
      <c r="M46" s="46"/>
      <c r="N46" s="49" t="str">
        <f>H5</f>
        <v>\</v>
      </c>
      <c r="O46" s="47"/>
    </row>
    <row r="47" spans="1:20" x14ac:dyDescent="0.2">
      <c r="K47" s="90"/>
      <c r="L47" s="45"/>
      <c r="M47" s="46"/>
      <c r="N47" s="46" t="e">
        <f>#REF!</f>
        <v>#REF!</v>
      </c>
      <c r="O47" s="47"/>
    </row>
    <row r="48" spans="1:20" x14ac:dyDescent="0.2">
      <c r="K48" s="91"/>
      <c r="L48" s="45"/>
      <c r="M48" s="46"/>
      <c r="N48" s="46">
        <f>G32</f>
        <v>0</v>
      </c>
      <c r="O48" s="47"/>
      <c r="T48" s="11">
        <f>(G33-4476.45-G14-SUM(G21:G24)-SUM(G15:G17))</f>
        <v>-4502.4099999999989</v>
      </c>
    </row>
    <row r="49" spans="11:22" x14ac:dyDescent="0.2">
      <c r="K49" s="91"/>
      <c r="L49" s="45"/>
      <c r="M49" s="46"/>
      <c r="N49" s="46" t="e">
        <f>N47-N48</f>
        <v>#REF!</v>
      </c>
      <c r="O49" s="47"/>
    </row>
    <row r="50" spans="11:22" x14ac:dyDescent="0.2">
      <c r="K50" s="89"/>
      <c r="L50" s="45" t="s">
        <v>44</v>
      </c>
      <c r="M50" s="50" t="s">
        <v>45</v>
      </c>
      <c r="N50" s="46" t="e">
        <f>(G33-4476.45-G14-SUM(G21:G24)-SUM(G15:G17))/G33*100</f>
        <v>#DIV/0!</v>
      </c>
      <c r="O50" s="47" t="e">
        <f>IF(N50&lt;0.85,"错误，不得小于85%","大于85%")</f>
        <v>#DIV/0!</v>
      </c>
    </row>
    <row r="51" spans="11:22" x14ac:dyDescent="0.2">
      <c r="K51" s="89"/>
      <c r="L51" s="45" t="s">
        <v>44</v>
      </c>
      <c r="M51" s="50" t="s">
        <v>46</v>
      </c>
      <c r="N51" s="46" t="e">
        <f>100-N50</f>
        <v>#DIV/0!</v>
      </c>
      <c r="O51" s="47" t="s">
        <v>47</v>
      </c>
    </row>
    <row r="52" spans="11:22" x14ac:dyDescent="0.2">
      <c r="K52" s="89"/>
      <c r="L52" s="45" t="s">
        <v>38</v>
      </c>
      <c r="M52" s="50"/>
      <c r="N52" s="46" t="e">
        <f>N53+N54</f>
        <v>#REF!</v>
      </c>
      <c r="O52" s="47"/>
      <c r="Q52" s="58" t="e">
        <f>N52-#REF!</f>
        <v>#REF!</v>
      </c>
    </row>
    <row r="53" spans="11:22" x14ac:dyDescent="0.2">
      <c r="K53" s="90"/>
      <c r="L53" s="45"/>
      <c r="M53" s="46"/>
      <c r="N53" s="51" t="e">
        <f>#REF!</f>
        <v>#REF!</v>
      </c>
      <c r="O53" s="47"/>
    </row>
    <row r="54" spans="11:22" x14ac:dyDescent="0.2">
      <c r="K54" s="90"/>
      <c r="L54" s="45"/>
      <c r="M54" s="46"/>
      <c r="N54" s="46" t="e">
        <f>#REF!</f>
        <v>#REF!</v>
      </c>
      <c r="O54" s="47"/>
    </row>
    <row r="55" spans="11:22" x14ac:dyDescent="0.2">
      <c r="K55" s="89"/>
      <c r="L55" s="45"/>
      <c r="M55" s="50" t="s">
        <v>48</v>
      </c>
      <c r="N55" s="46" t="e">
        <f>N52/N39</f>
        <v>#REF!</v>
      </c>
      <c r="O55" s="47" t="e">
        <f>IF(N55&gt;1.5,"错误，不得大于1.5","小于1.5")</f>
        <v>#REF!</v>
      </c>
      <c r="Q55" s="4">
        <f>N39*1.5</f>
        <v>310185.70500000002</v>
      </c>
      <c r="R55" s="11" t="e">
        <f>Q55-#REF!</f>
        <v>#REF!</v>
      </c>
      <c r="S55" s="59">
        <v>62277.62</v>
      </c>
    </row>
    <row r="56" spans="11:22" x14ac:dyDescent="0.2">
      <c r="K56" s="89"/>
      <c r="L56" s="45" t="s">
        <v>38</v>
      </c>
      <c r="M56" s="50"/>
      <c r="N56" s="46">
        <v>4721.7700000000004</v>
      </c>
      <c r="O56" s="47"/>
      <c r="R56" s="11" t="e">
        <f>R55+#REF!</f>
        <v>#REF!</v>
      </c>
      <c r="S56" s="4" t="s">
        <v>49</v>
      </c>
    </row>
    <row r="57" spans="11:22" x14ac:dyDescent="0.2">
      <c r="K57" s="89"/>
      <c r="L57" s="45" t="s">
        <v>38</v>
      </c>
      <c r="N57" s="46">
        <f>V57</f>
        <v>86708.755000000005</v>
      </c>
      <c r="O57" s="52" t="s">
        <v>50</v>
      </c>
      <c r="Q57" s="4">
        <v>22656.875</v>
      </c>
      <c r="R57" s="4">
        <v>10697.47</v>
      </c>
      <c r="S57" s="4">
        <v>1774.26</v>
      </c>
      <c r="T57" s="4">
        <f>R57-S57</f>
        <v>8923.2099999999991</v>
      </c>
      <c r="U57" s="4">
        <f>Q57+S57</f>
        <v>24431.134999999998</v>
      </c>
      <c r="V57" s="60">
        <f>S55+U57</f>
        <v>86708.755000000005</v>
      </c>
    </row>
    <row r="58" spans="11:22" x14ac:dyDescent="0.2">
      <c r="K58" s="89"/>
      <c r="L58" s="45" t="s">
        <v>38</v>
      </c>
      <c r="M58" s="50"/>
      <c r="N58" s="46">
        <v>72663.600000000006</v>
      </c>
      <c r="O58" s="52" t="s">
        <v>51</v>
      </c>
      <c r="Q58" s="4" t="s">
        <v>52</v>
      </c>
      <c r="T58" s="4" t="s">
        <v>53</v>
      </c>
      <c r="U58" s="4" t="s">
        <v>54</v>
      </c>
      <c r="V58" s="4" t="s">
        <v>55</v>
      </c>
    </row>
    <row r="59" spans="11:22" x14ac:dyDescent="0.2">
      <c r="K59" s="92"/>
      <c r="L59" s="45" t="s">
        <v>44</v>
      </c>
      <c r="M59" s="50" t="s">
        <v>56</v>
      </c>
      <c r="N59" s="46" t="e">
        <f>#REF!/N39*100</f>
        <v>#REF!</v>
      </c>
      <c r="O59" s="47" t="s">
        <v>57</v>
      </c>
    </row>
    <row r="60" spans="11:22" ht="14.25" customHeight="1" x14ac:dyDescent="0.2">
      <c r="K60" s="92"/>
      <c r="L60" s="45" t="s">
        <v>44</v>
      </c>
      <c r="M60" s="50"/>
      <c r="N60" s="46">
        <f>N57/N39*100</f>
        <v>41.93073065697854</v>
      </c>
      <c r="O60" s="47"/>
    </row>
    <row r="61" spans="11:22" x14ac:dyDescent="0.2">
      <c r="K61" s="89"/>
      <c r="L61" s="45" t="s">
        <v>44</v>
      </c>
      <c r="M61" s="50" t="s">
        <v>58</v>
      </c>
      <c r="N61" s="46">
        <f>(N58/N39)*100</f>
        <v>35.13875663612545</v>
      </c>
      <c r="O61" s="47" t="str">
        <f>IF(N62&lt;0.35,"错误，不得小于35%","大于35%")</f>
        <v>大于35%</v>
      </c>
      <c r="Q61" s="60" t="e">
        <f>100-N59-N61</f>
        <v>#REF!</v>
      </c>
      <c r="R61" s="60" t="e">
        <f>100-N59-N60-T62-N61</f>
        <v>#REF!</v>
      </c>
      <c r="S61" s="4" t="e">
        <f>R61*N39/100</f>
        <v>#REF!</v>
      </c>
    </row>
    <row r="62" spans="11:22" x14ac:dyDescent="0.2">
      <c r="K62" s="89"/>
      <c r="L62" s="45" t="s">
        <v>59</v>
      </c>
      <c r="M62" s="50" t="e">
        <f>AC84</f>
        <v>#REF!</v>
      </c>
      <c r="N62" s="53">
        <f>AD80</f>
        <v>1015</v>
      </c>
      <c r="O62" s="54"/>
    </row>
    <row r="63" spans="11:22" x14ac:dyDescent="0.2">
      <c r="K63" s="91"/>
      <c r="L63" s="45" t="s">
        <v>59</v>
      </c>
      <c r="M63" s="50"/>
      <c r="N63" s="53">
        <f>Q90</f>
        <v>502</v>
      </c>
      <c r="O63" s="103" t="s">
        <v>60</v>
      </c>
    </row>
    <row r="64" spans="11:22" ht="16.5" customHeight="1" x14ac:dyDescent="0.2">
      <c r="K64" s="91"/>
      <c r="L64" s="45" t="s">
        <v>59</v>
      </c>
      <c r="M64" s="50"/>
      <c r="N64" s="53" t="s">
        <v>61</v>
      </c>
      <c r="O64" s="104"/>
    </row>
    <row r="65" spans="11:31" x14ac:dyDescent="0.2">
      <c r="K65" s="91"/>
      <c r="L65" s="45" t="s">
        <v>59</v>
      </c>
      <c r="M65" s="50"/>
      <c r="N65" s="53" t="s">
        <v>62</v>
      </c>
      <c r="O65" s="105" t="s">
        <v>63</v>
      </c>
    </row>
    <row r="66" spans="11:31" x14ac:dyDescent="0.2">
      <c r="K66" s="91"/>
      <c r="L66" s="45" t="s">
        <v>59</v>
      </c>
      <c r="M66" s="50"/>
      <c r="N66" s="53">
        <f>Q94</f>
        <v>513</v>
      </c>
      <c r="O66" s="105"/>
      <c r="Q66" s="61">
        <f>N62-N63-N66</f>
        <v>0</v>
      </c>
    </row>
    <row r="67" spans="11:31" ht="14.25" customHeight="1" x14ac:dyDescent="0.2">
      <c r="K67" s="91"/>
      <c r="L67" s="45" t="s">
        <v>59</v>
      </c>
      <c r="M67" s="62"/>
      <c r="N67" s="53" t="s">
        <v>64</v>
      </c>
      <c r="O67" s="105" t="s">
        <v>65</v>
      </c>
    </row>
    <row r="68" spans="11:31" ht="30" customHeight="1" x14ac:dyDescent="0.2">
      <c r="K68" s="91"/>
      <c r="L68" s="45" t="s">
        <v>59</v>
      </c>
      <c r="M68" s="50"/>
      <c r="N68" s="53" t="s">
        <v>66</v>
      </c>
      <c r="O68" s="105"/>
    </row>
    <row r="69" spans="11:31" x14ac:dyDescent="0.2">
      <c r="K69" s="89"/>
      <c r="L69" s="45" t="s">
        <v>59</v>
      </c>
      <c r="M69" s="50" t="e">
        <f>AC89</f>
        <v>#REF!</v>
      </c>
      <c r="N69" s="53">
        <f>AD85</f>
        <v>650</v>
      </c>
      <c r="O69" s="54"/>
    </row>
    <row r="70" spans="11:31" x14ac:dyDescent="0.2">
      <c r="K70" s="90"/>
      <c r="L70" s="45" t="s">
        <v>59</v>
      </c>
      <c r="M70" s="50"/>
      <c r="N70" s="53">
        <v>0</v>
      </c>
      <c r="O70" s="47"/>
    </row>
    <row r="71" spans="11:31" x14ac:dyDescent="0.2">
      <c r="K71" s="90"/>
      <c r="L71" s="45" t="s">
        <v>59</v>
      </c>
      <c r="M71" s="50"/>
      <c r="N71" s="53">
        <f>N69-N70</f>
        <v>650</v>
      </c>
      <c r="O71" s="47"/>
    </row>
    <row r="72" spans="11:31" x14ac:dyDescent="0.2">
      <c r="K72" s="91"/>
      <c r="L72" s="45" t="s">
        <v>59</v>
      </c>
      <c r="M72" s="50"/>
      <c r="N72" s="53">
        <v>350</v>
      </c>
      <c r="O72" s="54"/>
      <c r="Q72" s="63"/>
    </row>
    <row r="73" spans="11:31" x14ac:dyDescent="0.2">
      <c r="K73" s="91"/>
      <c r="L73" s="45" t="s">
        <v>59</v>
      </c>
      <c r="M73" s="50"/>
      <c r="N73" s="53">
        <f>N71-N72</f>
        <v>300</v>
      </c>
      <c r="O73" s="54"/>
      <c r="Q73" s="63"/>
    </row>
    <row r="74" spans="11:31" x14ac:dyDescent="0.2">
      <c r="K74" s="89"/>
      <c r="L74" s="45" t="s">
        <v>67</v>
      </c>
      <c r="M74" s="50">
        <v>30</v>
      </c>
      <c r="N74" s="46" t="e">
        <f>#REF!</f>
        <v>#REF!</v>
      </c>
      <c r="O74" s="52" t="s">
        <v>68</v>
      </c>
    </row>
    <row r="75" spans="11:31" ht="3.75" customHeight="1" x14ac:dyDescent="0.2">
      <c r="K75" s="2"/>
      <c r="L75" s="2"/>
      <c r="M75" s="2"/>
      <c r="N75" s="2"/>
      <c r="O75" s="2"/>
    </row>
    <row r="76" spans="11:31" x14ac:dyDescent="0.2">
      <c r="K76" s="2"/>
      <c r="L76" s="2"/>
      <c r="M76" s="2"/>
      <c r="N76" s="2"/>
      <c r="O76" s="2"/>
      <c r="R76" s="64" t="s">
        <v>69</v>
      </c>
      <c r="S76" s="64"/>
      <c r="T76" s="64"/>
      <c r="U76" s="65"/>
      <c r="V76" s="55"/>
      <c r="W76" s="11"/>
      <c r="X76" s="11"/>
      <c r="Y76" s="11"/>
      <c r="Z76" s="11"/>
      <c r="AA76" s="1"/>
    </row>
    <row r="77" spans="11:31" x14ac:dyDescent="0.2">
      <c r="R77" s="64"/>
      <c r="S77" s="64"/>
      <c r="T77" s="64"/>
      <c r="U77" s="65"/>
      <c r="V77" s="55"/>
      <c r="W77" s="11"/>
      <c r="X77" s="11"/>
      <c r="Y77" s="11"/>
      <c r="Z77" s="11"/>
      <c r="AA77" s="1"/>
    </row>
    <row r="78" spans="11:31" ht="16.5" customHeight="1" x14ac:dyDescent="0.2">
      <c r="Q78" s="4" t="s">
        <v>70</v>
      </c>
      <c r="S78" s="4" t="s">
        <v>71</v>
      </c>
      <c r="T78" s="4" t="s">
        <v>72</v>
      </c>
      <c r="U78" s="11"/>
      <c r="V78" s="55"/>
      <c r="W78" s="11"/>
      <c r="X78" s="99" t="s">
        <v>73</v>
      </c>
      <c r="Y78" s="99"/>
      <c r="Z78" s="99"/>
      <c r="AA78" s="99"/>
      <c r="AB78" s="99"/>
      <c r="AC78" s="99"/>
      <c r="AD78" s="99"/>
      <c r="AE78" s="99"/>
    </row>
    <row r="79" spans="11:31" ht="16.5" customHeight="1" x14ac:dyDescent="0.2">
      <c r="L79" s="4">
        <v>10</v>
      </c>
      <c r="Q79" s="66">
        <f>M13+L29+L32</f>
        <v>0</v>
      </c>
      <c r="R79" s="4" t="s">
        <v>74</v>
      </c>
      <c r="S79" s="67">
        <v>1015</v>
      </c>
      <c r="T79" s="68">
        <f>AD85</f>
        <v>650</v>
      </c>
      <c r="U79" s="11" t="s">
        <v>75</v>
      </c>
      <c r="V79" s="69">
        <f>T79*1.5</f>
        <v>975</v>
      </c>
      <c r="W79" s="11"/>
      <c r="X79" s="79" t="s">
        <v>76</v>
      </c>
      <c r="Y79" s="34" t="s">
        <v>77</v>
      </c>
      <c r="Z79" s="34" t="s">
        <v>41</v>
      </c>
      <c r="AA79" s="34" t="s">
        <v>78</v>
      </c>
      <c r="AB79" s="79" t="s">
        <v>79</v>
      </c>
      <c r="AC79" s="79" t="s">
        <v>80</v>
      </c>
      <c r="AD79" s="79" t="s">
        <v>81</v>
      </c>
      <c r="AE79" s="79" t="s">
        <v>37</v>
      </c>
    </row>
    <row r="80" spans="11:31" ht="16.5" customHeight="1" x14ac:dyDescent="0.2">
      <c r="L80" s="4">
        <v>20</v>
      </c>
      <c r="S80" s="4" t="s">
        <v>82</v>
      </c>
      <c r="U80" s="11"/>
      <c r="X80" s="94" t="s">
        <v>71</v>
      </c>
      <c r="Y80" s="80" t="s">
        <v>83</v>
      </c>
      <c r="Z80" s="80" t="e">
        <f>#REF!</f>
        <v>#REF!</v>
      </c>
      <c r="AA80" s="81" t="s">
        <v>84</v>
      </c>
      <c r="AB80" s="82" t="e">
        <f>Z80*0.3/100</f>
        <v>#REF!</v>
      </c>
      <c r="AC80" s="79" t="e">
        <f>ROUNDUP(AB80,)</f>
        <v>#REF!</v>
      </c>
      <c r="AD80" s="95">
        <v>1015</v>
      </c>
      <c r="AE80" s="96" t="s">
        <v>85</v>
      </c>
    </row>
    <row r="81" spans="12:33" ht="16.5" customHeight="1" x14ac:dyDescent="0.2">
      <c r="L81" s="4">
        <v>22</v>
      </c>
      <c r="Q81" s="11">
        <f>L14+L17+L30+L33</f>
        <v>0</v>
      </c>
      <c r="S81" s="4" t="s">
        <v>86</v>
      </c>
      <c r="T81" s="4">
        <f>S79*12%</f>
        <v>121.8</v>
      </c>
      <c r="U81" s="70">
        <f>ROUNDUP(T81,)</f>
        <v>122</v>
      </c>
      <c r="V81" s="55"/>
      <c r="W81" s="11"/>
      <c r="X81" s="94"/>
      <c r="Y81" s="80" t="s">
        <v>87</v>
      </c>
      <c r="Z81" s="80" t="e">
        <f>#REF!</f>
        <v>#REF!</v>
      </c>
      <c r="AA81" s="81" t="s">
        <v>84</v>
      </c>
      <c r="AB81" s="82" t="e">
        <f>Z81*0.3/100</f>
        <v>#REF!</v>
      </c>
      <c r="AC81" s="79" t="e">
        <f>ROUNDUP(AB81,)</f>
        <v>#REF!</v>
      </c>
      <c r="AD81" s="95"/>
      <c r="AE81" s="96"/>
    </row>
    <row r="82" spans="12:33" ht="16.5" customHeight="1" x14ac:dyDescent="0.2">
      <c r="L82" s="4">
        <v>12</v>
      </c>
      <c r="T82" s="4" t="s">
        <v>88</v>
      </c>
      <c r="U82" s="71">
        <f>V94+V95</f>
        <v>27</v>
      </c>
      <c r="V82" s="72" t="s">
        <v>42</v>
      </c>
      <c r="X82" s="94"/>
      <c r="Y82" s="83" t="s">
        <v>89</v>
      </c>
      <c r="Z82" s="80" t="e">
        <f>#REF!</f>
        <v>#REF!</v>
      </c>
      <c r="AA82" s="84" t="s">
        <v>90</v>
      </c>
      <c r="AB82" s="82" t="e">
        <f>Z82*1.5/100</f>
        <v>#REF!</v>
      </c>
      <c r="AC82" s="79" t="e">
        <f>ROUNDUP(AB82,)</f>
        <v>#REF!</v>
      </c>
      <c r="AD82" s="95"/>
      <c r="AE82" s="96"/>
    </row>
    <row r="83" spans="12:33" ht="16.5" customHeight="1" x14ac:dyDescent="0.2">
      <c r="L83" s="4">
        <v>15</v>
      </c>
      <c r="T83" s="4" t="s">
        <v>91</v>
      </c>
      <c r="U83" s="73">
        <f>U81-U82</f>
        <v>95</v>
      </c>
      <c r="V83" s="74" t="s">
        <v>43</v>
      </c>
      <c r="X83" s="94"/>
      <c r="Y83" s="83" t="s">
        <v>92</v>
      </c>
      <c r="Z83" s="80" t="e">
        <f>#REF!</f>
        <v>#REF!</v>
      </c>
      <c r="AA83" s="84" t="s">
        <v>93</v>
      </c>
      <c r="AB83" s="82" t="e">
        <f>Z83*8/10000</f>
        <v>#REF!</v>
      </c>
      <c r="AC83" s="79" t="e">
        <f>ROUNDUP(AB83,)</f>
        <v>#REF!</v>
      </c>
      <c r="AD83" s="95"/>
      <c r="AE83" s="96"/>
    </row>
    <row r="84" spans="12:33" ht="16.5" customHeight="1" x14ac:dyDescent="0.2">
      <c r="L84" s="4">
        <v>21</v>
      </c>
      <c r="U84" s="75">
        <f>U82/U81*100</f>
        <v>22.131147540983605</v>
      </c>
      <c r="X84" s="83" t="s">
        <v>94</v>
      </c>
      <c r="Y84" s="83"/>
      <c r="Z84" s="80"/>
      <c r="AA84" s="84"/>
      <c r="AB84" s="82" t="e">
        <f>SUM(AB80:AB83)</f>
        <v>#REF!</v>
      </c>
      <c r="AC84" s="79" t="e">
        <f>SUM(AC80:AC83)</f>
        <v>#REF!</v>
      </c>
      <c r="AD84" s="95"/>
      <c r="AE84" s="96"/>
    </row>
    <row r="85" spans="12:33" ht="16.5" customHeight="1" x14ac:dyDescent="0.2">
      <c r="L85" s="4">
        <f>SUM(L79:L84)</f>
        <v>100</v>
      </c>
      <c r="U85" s="11"/>
      <c r="X85" s="95" t="s">
        <v>72</v>
      </c>
      <c r="Y85" s="83" t="s">
        <v>83</v>
      </c>
      <c r="Z85" s="80" t="e">
        <f>#REF!</f>
        <v>#REF!</v>
      </c>
      <c r="AA85" s="84" t="s">
        <v>95</v>
      </c>
      <c r="AB85" s="82" t="e">
        <f>Z85*0.2/100</f>
        <v>#REF!</v>
      </c>
      <c r="AC85" s="79" t="e">
        <f>ROUNDUP(AB85,)</f>
        <v>#REF!</v>
      </c>
      <c r="AD85" s="95">
        <v>650</v>
      </c>
      <c r="AE85" s="96"/>
    </row>
    <row r="86" spans="12:33" ht="16.5" customHeight="1" x14ac:dyDescent="0.2">
      <c r="U86" s="11"/>
      <c r="X86" s="95"/>
      <c r="Y86" s="83" t="s">
        <v>87</v>
      </c>
      <c r="Z86" s="80" t="e">
        <f>#REF!</f>
        <v>#REF!</v>
      </c>
      <c r="AA86" s="81" t="s">
        <v>84</v>
      </c>
      <c r="AB86" s="82" t="e">
        <f>Z86*0.3/100</f>
        <v>#REF!</v>
      </c>
      <c r="AC86" s="79" t="e">
        <f>ROUNDUP(AB86,)</f>
        <v>#REF!</v>
      </c>
      <c r="AD86" s="95"/>
      <c r="AE86" s="96"/>
    </row>
    <row r="87" spans="12:33" ht="16.5" customHeight="1" x14ac:dyDescent="0.2">
      <c r="U87" s="11"/>
      <c r="X87" s="95"/>
      <c r="Y87" s="83" t="s">
        <v>89</v>
      </c>
      <c r="Z87" s="80" t="e">
        <f>#REF!</f>
        <v>#REF!</v>
      </c>
      <c r="AA87" s="84" t="s">
        <v>96</v>
      </c>
      <c r="AB87" s="82" t="e">
        <f>Z87*0.5/100</f>
        <v>#REF!</v>
      </c>
      <c r="AC87" s="79" t="e">
        <f>ROUNDUP(AB87,)</f>
        <v>#REF!</v>
      </c>
      <c r="AD87" s="95"/>
      <c r="AE87" s="96"/>
    </row>
    <row r="88" spans="12:33" ht="16.5" customHeight="1" x14ac:dyDescent="0.2">
      <c r="Q88" s="76" t="s">
        <v>71</v>
      </c>
      <c r="S88" s="4">
        <f>S79*0.8665</f>
        <v>879.49750000000006</v>
      </c>
      <c r="U88" s="11"/>
      <c r="X88" s="95"/>
      <c r="Y88" s="83" t="s">
        <v>92</v>
      </c>
      <c r="Z88" s="80" t="e">
        <f>#REF!</f>
        <v>#REF!</v>
      </c>
      <c r="AA88" s="84" t="s">
        <v>93</v>
      </c>
      <c r="AB88" s="82" t="e">
        <f>Z88*8/10000</f>
        <v>#REF!</v>
      </c>
      <c r="AC88" s="79" t="e">
        <f>ROUNDUP(AB88,)</f>
        <v>#REF!</v>
      </c>
      <c r="AD88" s="95"/>
      <c r="AE88" s="96"/>
    </row>
    <row r="89" spans="12:33" ht="16.5" customHeight="1" x14ac:dyDescent="0.2">
      <c r="Q89" s="4">
        <f>Q79*0.8</f>
        <v>0</v>
      </c>
      <c r="R89" s="77" t="s">
        <v>97</v>
      </c>
      <c r="S89" s="77">
        <f>ROUNDUP(S88,)</f>
        <v>880</v>
      </c>
      <c r="T89" s="77"/>
      <c r="U89" s="78"/>
      <c r="V89" s="77"/>
      <c r="X89" s="83" t="s">
        <v>94</v>
      </c>
      <c r="Y89" s="83"/>
      <c r="Z89" s="83"/>
      <c r="AA89" s="83"/>
      <c r="AB89" s="82" t="e">
        <f>SUM(AB85:AB88)</f>
        <v>#REF!</v>
      </c>
      <c r="AC89" s="79" t="e">
        <f>SUM(AC85:AC88)</f>
        <v>#REF!</v>
      </c>
      <c r="AD89" s="95"/>
      <c r="AE89" s="96"/>
    </row>
    <row r="90" spans="12:33" x14ac:dyDescent="0.2">
      <c r="Q90" s="4">
        <f>T90+T94</f>
        <v>502</v>
      </c>
      <c r="R90" s="77"/>
      <c r="S90" s="77" t="s">
        <v>39</v>
      </c>
      <c r="T90" s="77">
        <v>432</v>
      </c>
      <c r="U90" s="78" t="s">
        <v>98</v>
      </c>
      <c r="V90" s="77">
        <v>42</v>
      </c>
    </row>
    <row r="91" spans="12:33" x14ac:dyDescent="0.2">
      <c r="R91" s="77"/>
      <c r="S91" s="77"/>
      <c r="T91" s="77"/>
      <c r="U91" s="78"/>
      <c r="V91" s="77"/>
      <c r="X91" s="4" t="s">
        <v>42</v>
      </c>
      <c r="Y91" s="4" t="s">
        <v>43</v>
      </c>
    </row>
    <row r="92" spans="12:33" x14ac:dyDescent="0.2">
      <c r="R92" s="77"/>
      <c r="S92" s="77" t="s">
        <v>40</v>
      </c>
      <c r="T92" s="77">
        <f>S89-T90</f>
        <v>448</v>
      </c>
      <c r="U92" s="78" t="s">
        <v>98</v>
      </c>
      <c r="V92" s="77">
        <v>53</v>
      </c>
      <c r="AG92" s="4">
        <v>28336.94</v>
      </c>
    </row>
    <row r="93" spans="12:33" x14ac:dyDescent="0.2">
      <c r="R93" s="77" t="s">
        <v>99</v>
      </c>
      <c r="S93" s="77">
        <f>S79-S89</f>
        <v>135</v>
      </c>
      <c r="T93" s="77"/>
      <c r="U93" s="78"/>
      <c r="V93" s="77"/>
      <c r="AG93" s="4">
        <v>2643.64</v>
      </c>
    </row>
    <row r="94" spans="12:33" x14ac:dyDescent="0.2">
      <c r="Q94" s="4">
        <f>T92+T95</f>
        <v>513</v>
      </c>
      <c r="R94" s="77"/>
      <c r="S94" s="77" t="s">
        <v>39</v>
      </c>
      <c r="T94" s="77">
        <v>70</v>
      </c>
      <c r="U94" s="78" t="s">
        <v>100</v>
      </c>
      <c r="V94" s="77">
        <v>15</v>
      </c>
      <c r="AG94" s="4">
        <v>32050.2</v>
      </c>
    </row>
    <row r="95" spans="12:33" x14ac:dyDescent="0.2">
      <c r="R95" s="77"/>
      <c r="S95" s="77" t="s">
        <v>40</v>
      </c>
      <c r="T95" s="77">
        <f>S93-T94</f>
        <v>65</v>
      </c>
      <c r="U95" s="78" t="s">
        <v>100</v>
      </c>
      <c r="V95" s="78">
        <f>U81-V96</f>
        <v>12</v>
      </c>
      <c r="Y95" s="11"/>
      <c r="Z95" s="11"/>
      <c r="AA95" s="1"/>
      <c r="AG95" s="4">
        <v>2078.13</v>
      </c>
    </row>
    <row r="96" spans="12:33" x14ac:dyDescent="0.2">
      <c r="V96" s="4">
        <f>SUM(V90:V94)</f>
        <v>110</v>
      </c>
      <c r="AG96" s="4">
        <v>7556.41</v>
      </c>
    </row>
    <row r="97" spans="18:34" x14ac:dyDescent="0.2">
      <c r="R97" s="40"/>
      <c r="S97" s="2"/>
      <c r="U97" s="4">
        <f>112-50-12</f>
        <v>50</v>
      </c>
      <c r="AG97" s="4">
        <f>SUM(AG92:AG96)</f>
        <v>72665.319999999992</v>
      </c>
    </row>
    <row r="98" spans="18:34" x14ac:dyDescent="0.2">
      <c r="AG98" s="4">
        <v>206790.47</v>
      </c>
    </row>
    <row r="99" spans="18:34" x14ac:dyDescent="0.2">
      <c r="AG99" s="4">
        <f>AG98*35.01/100</f>
        <v>72397.343546999997</v>
      </c>
      <c r="AH99" s="4">
        <f>AG97/AG98*100</f>
        <v>35.139588395925593</v>
      </c>
    </row>
    <row r="100" spans="18:34" x14ac:dyDescent="0.2">
      <c r="AG100" s="4">
        <f>AG99-AG97</f>
        <v>-267.97645299999567</v>
      </c>
    </row>
  </sheetData>
  <mergeCells count="46">
    <mergeCell ref="A2:I2"/>
    <mergeCell ref="B3:C3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3:E23"/>
    <mergeCell ref="D24:E24"/>
    <mergeCell ref="D25:E25"/>
    <mergeCell ref="D26:E26"/>
    <mergeCell ref="D16:E16"/>
    <mergeCell ref="D17:E17"/>
    <mergeCell ref="D18:E18"/>
    <mergeCell ref="D20:E20"/>
    <mergeCell ref="D21:E21"/>
    <mergeCell ref="A19:I19"/>
    <mergeCell ref="D32:E32"/>
    <mergeCell ref="A33:C33"/>
    <mergeCell ref="D33:E33"/>
    <mergeCell ref="X78:AE78"/>
    <mergeCell ref="B4:B17"/>
    <mergeCell ref="B20:B31"/>
    <mergeCell ref="H25:H30"/>
    <mergeCell ref="O63:O64"/>
    <mergeCell ref="O65:O66"/>
    <mergeCell ref="O67:O68"/>
    <mergeCell ref="D27:E27"/>
    <mergeCell ref="D28:E28"/>
    <mergeCell ref="D29:E29"/>
    <mergeCell ref="D30:E30"/>
    <mergeCell ref="D31:E31"/>
    <mergeCell ref="D22:E22"/>
    <mergeCell ref="X80:X83"/>
    <mergeCell ref="X85:X88"/>
    <mergeCell ref="AD80:AD84"/>
    <mergeCell ref="AD85:AD89"/>
    <mergeCell ref="AE80:AE89"/>
  </mergeCells>
  <phoneticPr fontId="11" type="noConversion"/>
  <printOptions horizontalCentered="1"/>
  <pageMargins left="0.70866141732283505" right="0.70866141732283505" top="0.74803149606299202" bottom="0.74803149606299202" header="0.31496062992126" footer="0.31496062992126"/>
  <pageSetup paperSize="9" scale="110" orientation="portrait" horizontalDpi="1200" verticalDpi="1200" r:id="rId1"/>
  <ignoredErrors>
    <ignoredError sqref="AC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20200611</vt:lpstr>
      <vt:lpstr>'20200611'!Print_Area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xtt</dc:creator>
  <cp:lastModifiedBy>彭海丽</cp:lastModifiedBy>
  <cp:lastPrinted>2021-06-03T03:08:09Z</cp:lastPrinted>
  <dcterms:created xsi:type="dcterms:W3CDTF">2015-06-05T18:19:00Z</dcterms:created>
  <dcterms:modified xsi:type="dcterms:W3CDTF">2021-06-03T03:08:34Z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A3227E4262954BE0851CE59C0AD5C6FB</vt:lpwstr>
  </property>
</Properties>
</file>